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1E55F3B5-A63A-46B9-9461-AC722F6C312D}"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24" i="8" l="1"/>
  <c r="D124" i="8" s="1"/>
  <c r="N124" i="8" l="1"/>
  <c r="N123" i="8"/>
  <c r="Q124" i="8" l="1"/>
  <c r="R124" i="8"/>
  <c r="I124" i="8"/>
  <c r="J124" i="8"/>
  <c r="K124" i="8"/>
  <c r="O124" i="8"/>
  <c r="C124" i="8" l="1"/>
  <c r="N122" i="8"/>
  <c r="C125" i="10" l="1"/>
  <c r="I123" i="8"/>
  <c r="J123" i="8"/>
  <c r="K123" i="8"/>
  <c r="Q123" i="8"/>
  <c r="O123" i="8"/>
  <c r="R123" i="8" s="1"/>
  <c r="P123" i="8"/>
  <c r="Q122" i="8"/>
  <c r="D123" i="8" l="1"/>
  <c r="C123" i="8"/>
  <c r="J122" i="8"/>
  <c r="C124" i="10" l="1"/>
  <c r="D125" i="10" s="1"/>
  <c r="O122" i="8"/>
  <c r="I122" i="8"/>
  <c r="K122" i="8"/>
  <c r="R122" i="8"/>
  <c r="P122" i="8"/>
  <c r="O121" i="8"/>
  <c r="N121" i="8"/>
  <c r="C122" i="8" l="1"/>
  <c r="D122" i="8"/>
  <c r="R121" i="8"/>
  <c r="Q121" i="8"/>
  <c r="P121" i="8"/>
  <c r="K121" i="8"/>
  <c r="J121" i="8"/>
  <c r="I121" i="8"/>
  <c r="P120" i="8"/>
  <c r="K120" i="8"/>
  <c r="J120" i="8"/>
  <c r="I120" i="8"/>
  <c r="N120" i="8"/>
  <c r="Q120" i="8" s="1"/>
  <c r="C123" i="10" l="1"/>
  <c r="D121" i="8"/>
  <c r="C121" i="8"/>
  <c r="C122" i="10" s="1"/>
  <c r="N119" i="8"/>
  <c r="D123" i="10" l="1"/>
  <c r="D124" i="10"/>
  <c r="O120" i="8"/>
  <c r="R120" i="8" s="1"/>
  <c r="Q119" i="8"/>
  <c r="C120" i="8" l="1"/>
  <c r="D120" i="8"/>
  <c r="C121" i="10" l="1"/>
  <c r="D122" i="10" s="1"/>
  <c r="K119" i="8"/>
  <c r="J119" i="8"/>
  <c r="I119" i="8"/>
  <c r="P119" i="8"/>
  <c r="O119" i="8"/>
  <c r="R119" i="8" s="1"/>
  <c r="C119" i="8" l="1"/>
  <c r="D119" i="8"/>
  <c r="N118" i="8"/>
  <c r="C120" i="10" l="1"/>
  <c r="D121" i="10" s="1"/>
  <c r="I118" i="8"/>
  <c r="J118" i="8"/>
  <c r="K118" i="8"/>
  <c r="Q118" i="8"/>
  <c r="O118" i="8"/>
  <c r="R118" i="8" s="1"/>
  <c r="P118" i="8"/>
  <c r="N117" i="8"/>
  <c r="C118" i="8" l="1"/>
  <c r="D118" i="8"/>
  <c r="O117" i="8"/>
  <c r="R117" i="8" s="1"/>
  <c r="P117" i="8"/>
  <c r="Q117" i="8"/>
  <c r="I117" i="8"/>
  <c r="J117" i="8"/>
  <c r="K117" i="8"/>
  <c r="C119" i="10" l="1"/>
  <c r="D120" i="10" s="1"/>
  <c r="C117" i="8"/>
  <c r="D117" i="8"/>
  <c r="C118" i="10"/>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Q114" i="8"/>
  <c r="P114" i="8"/>
  <c r="K114" i="8"/>
  <c r="J114" i="8"/>
  <c r="I114" i="8"/>
  <c r="O114" i="8"/>
  <c r="R114" i="8" s="1"/>
  <c r="C116" i="10" l="1"/>
  <c r="D117" i="10" s="1"/>
  <c r="D114" i="8"/>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27"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8" i="10" s="1"/>
  <c r="C106" i="8"/>
  <c r="D109" i="10" l="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54"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<sst xmlns="http://schemas.openxmlformats.org/spreadsheetml/2006/main" count="155" uniqueCount="65">
  <si>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</si>
  <si>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</si>
  <si>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</si>
  <si>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</si>
  <si>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</si>
  <si>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</si>
  <si>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</si>
  <si>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</si>
  <si>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</si>
  <si>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</si>
  <si>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</si>
  <si>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</si>
  <si>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</si>
  <si>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</si>
  <si>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</si>
  <si>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</si>
  <si>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</si>
  <si>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</si>
  <si>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</si>
  <si>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</si>
  <si>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</si>
  <si>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</si>
  <si>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</si>
  <si>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</si>
  <si>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</si>
  <si>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</si>
  <si>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</si>
  <si>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</si>
  <si>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</si>
  <si>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</si>
  <si>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</si>
  <si>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</si>
  <si>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</si>
  <si>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</si>
  <si>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</si>
  <si>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</si>
  <si>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</si>
  <si>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</si>
  <si>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</si>
  <si>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</si>
  <si>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</si>
  <si>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</si>
  <si>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</si>
  <si>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</si>
  <si>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</si>
  <si>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</si>
  <si>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</si>
  <si>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</si>
  <si>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</si>
  <si>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</si>
  <si>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</si>
  <si>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</si>
  <si>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</si>
  <si>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</si>
  <si>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</si>
  <si>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</si>
  <si>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</si>
  <si>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</si>
  <si>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</si>
  <si>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</si>
  <si>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©Agriculture and Horticulture Development Board 2024. All rights reserved.</t>
  </si>
  <si>
    <t>Please note the published values for whey powder have been adjusted between February 2023 and January 2024 due to a revision in the EU product values. MCVE and MMV have been adjusted accordingly.  There is no change to AMPE</t>
  </si>
  <si>
    <r>
      <rPr>
        <b/>
        <sz val="12"/>
        <color rgb="FF575756"/>
        <rFont val="Arial"/>
        <family val="2"/>
      </rPr>
      <t xml:space="preserve">Last updated: </t>
    </r>
    <r>
      <rPr>
        <sz val="12"/>
        <color rgb="FF575756"/>
        <rFont val="Arial"/>
        <family val="2"/>
      </rPr>
      <t>24/10/2024</t>
    </r>
  </si>
  <si>
    <r>
      <rPr>
        <b/>
        <sz val="12"/>
        <color rgb="FF575756"/>
        <rFont val="Arial"/>
        <family val="2"/>
      </rPr>
      <t xml:space="preserve">Last updated: </t>
    </r>
    <r>
      <rPr>
        <sz val="12"/>
        <color rgb="FF575756"/>
        <rFont val="Arial"/>
        <family val="2"/>
      </rPr>
      <t>25/11/2024</t>
    </r>
  </si>
  <si>
    <r>
      <rPr>
        <b/>
        <sz val="12"/>
        <color rgb="FF575756"/>
        <rFont val="Arial"/>
        <family val="2"/>
      </rPr>
      <t>Last updated:</t>
    </r>
    <r>
      <rPr>
        <sz val="12"/>
        <color rgb="FF575756"/>
        <rFont val="Arial"/>
        <family val="2"/>
      </rPr>
      <t xml:space="preserve"> 25/11/2024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</si>
</sst>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168" fontId="11" fillId="3" borderId="0" xfId="1" applyNumberFormat="1" applyFont="1" applyFill="1" applyAlignment="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9" fontId="11" fillId="3" borderId="0" xfId="1" applyFont="1" applyFill="1" applyAlignme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'AMPE-MCVE'!$B$9:$B$127</c:f>
              <c:numCache>
                <c:formatCode>mmm\-yy</c:formatCode>
                <c:ptCount val="119"/>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numCache>
            </c:numRef>
          </c:cat>
          <c:val>
            <c:numRef>
              <c:f>'AMPE-MCVE'!$C$9:$C$127</c:f>
              <c:numCache>
                <c:formatCode>#,##0.0</c:formatCode>
                <c:ptCount val="119"/>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pt idx="114">
                  <c:v>45.485979514375082</c:v>
                </c:pt>
                <c:pt idx="115">
                  <c:v>46.215459078484066</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'AMPE-MCVE'!$B$9:$B$127</c:f>
              <c:numCache>
                <c:formatCode>mmm\-yy</c:formatCode>
                <c:ptCount val="119"/>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numCache>
            </c:numRef>
          </c:cat>
          <c:val>
            <c:numRef>
              <c:f>'AMPE-MCVE'!$D$9:$D$127</c:f>
              <c:numCache>
                <c:formatCode>#,##0.0</c:formatCode>
                <c:ptCount val="119"/>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44.908940000816735</c:v>
                </c:pt>
                <c:pt idx="114">
                  <c:v>46.593780309144165</c:v>
                </c:pt>
                <c:pt idx="115">
                  <c:v>45.497117766024701</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597"/>
          <c:min val="44501"/>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45.356957418464162</c:v>
                </c:pt>
                <c:pt idx="114">
                  <c:v>46.372220150190351</c:v>
                </c:pt>
                <c:pt idx="115">
                  <c:v>45.64078602851658</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597"/>
          <c:min val="44501"/>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135631</xdr:colOff>
      <xdr:row>2</xdr:row>
      <xdr:rowOff>24922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330517</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25380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25380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25345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707072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59548</xdr:colOff>
      <xdr:row>1</xdr:row>
      <xdr:rowOff>25980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29883</xdr:colOff>
      <xdr:row>0</xdr:row>
      <xdr:rowOff>149412</xdr:rowOff>
    </xdr:from>
    <xdr:to>
      <xdr:col>22</xdr:col>
      <xdr:colOff>346150</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25"/>
  <sheetViews>
    <sheetView tabSelected="1" zoomScale="90" zoomScaleNormal="90" workbookViewId="0">
      <pane xSplit="2" ySplit="9" topLeftCell="C114" activePane="bottomRight" state="frozen"/>
      <selection pane="topRight" activeCell="C1" sqref="C1"/>
      <selection pane="bottomLeft" activeCell="A10" sqref="A10"/>
      <selection pane="bottomRight" activeCell="Q8" sqref="Q8"/>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45.356957418464162</v>
      </c>
      <c r="D123" s="34">
        <f t="shared" si="18"/>
        <v>4.0627133611180852</v>
      </c>
    </row>
    <row r="124" spans="2:4" ht="15.5" x14ac:dyDescent="0.3">
      <c r="B124" s="42">
        <v>45566</v>
      </c>
      <c r="C124" s="82">
        <f>(0.2*'AMPE-MCVE'!C123)+(0.8*'AMPE-MCVE'!D123)</f>
        <v>46.372220150190351</v>
      </c>
      <c r="D124" s="37">
        <f t="shared" ref="D124:D125" si="19">C124-C123</f>
        <v>1.0152627317261889</v>
      </c>
    </row>
    <row r="125" spans="2:4" ht="15.5" x14ac:dyDescent="0.3">
      <c r="B125" s="41">
        <v>45597</v>
      </c>
      <c r="C125" s="83">
        <f>(0.2*'AMPE-MCVE'!C124)+(0.8*'AMPE-MCVE'!D124)</f>
        <v>45.64078602851658</v>
      </c>
      <c r="D125" s="34">
        <f t="shared" si="19"/>
        <v>-0.73143412167377164</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30"/>
  <sheetViews>
    <sheetView showGridLines="0" zoomScale="90" zoomScaleNormal="90" zoomScaleSheetLayoutView="143" zoomScalePageLayoutView="123" workbookViewId="0">
      <pane xSplit="2" ySplit="8" topLeftCell="C116" activePane="bottomRight" state="frozen"/>
      <selection activeCell="B107" sqref="B107"/>
      <selection pane="topRight" activeCell="B107" sqref="B107"/>
      <selection pane="bottomLeft" activeCell="B107" sqref="B107"/>
      <selection pane="bottomRight" activeCell="P130" sqref="P130"/>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9"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9"/>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9"/>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9"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9"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9"/>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9"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9"/>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9"/>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9"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2"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2" t="s">
        <v>53</v>
      </c>
      <c r="B120" s="41">
        <v>45474</v>
      </c>
      <c r="C120" s="34">
        <f>I120+J120+K120</f>
        <v>40.488741391093811</v>
      </c>
      <c r="D120" s="34">
        <f t="shared" ref="D120" si="97">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2"/>
      <c r="B121" s="42">
        <v>45505</v>
      </c>
      <c r="C121" s="37">
        <f>I121+J121+K121</f>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2"/>
      <c r="B122" s="41">
        <v>45536</v>
      </c>
      <c r="C122" s="34">
        <f>I122+J122+K122</f>
        <v>47.149027089053895</v>
      </c>
      <c r="D122" s="34">
        <f t="shared" ref="D122" si="98">P122+Q122+R122</f>
        <v>44.908940000816735</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896.5/1.17</f>
        <v>766.23931623931628</v>
      </c>
      <c r="O122" s="36">
        <f>F122-300</f>
        <v>6430</v>
      </c>
      <c r="P122" s="34">
        <f>(M122-'Processing costs'!G122)*100/9100</f>
        <v>40.626373626373628</v>
      </c>
      <c r="Q122" s="34">
        <f>(N122-'Processing costs'!H122)*100/16700</f>
        <v>1.3128102768821335</v>
      </c>
      <c r="R122" s="34">
        <f>(O122-'Processing costs'!I122)*100/205000</f>
        <v>2.9697560975609756</v>
      </c>
    </row>
    <row r="123" spans="1:45" x14ac:dyDescent="0.35">
      <c r="A123" s="92" t="s">
        <v>53</v>
      </c>
      <c r="B123" s="42">
        <v>45566</v>
      </c>
      <c r="C123" s="37">
        <f>I123+J123+K123</f>
        <v>45.485979514375082</v>
      </c>
      <c r="D123" s="37">
        <f>P123+Q123+R123</f>
        <v>46.593780309144165</v>
      </c>
      <c r="E123" s="35"/>
      <c r="F123" s="38">
        <v>6500</v>
      </c>
      <c r="G123" s="38">
        <v>2090</v>
      </c>
      <c r="H123" s="38">
        <v>697</v>
      </c>
      <c r="I123" s="37">
        <f>(F123-'Processing costs'!C123)*100/19900</f>
        <v>30.949748743718594</v>
      </c>
      <c r="J123" s="37">
        <f>((G123-103)-'Processing costs'!E123)*100/203600</f>
        <v>0.69891944990176813</v>
      </c>
      <c r="K123" s="37">
        <f>(G123-'Processing costs'!D123-H123*8.5%)*100/10600</f>
        <v>13.837311320754717</v>
      </c>
      <c r="L123" s="35"/>
      <c r="M123" s="38">
        <v>4300</v>
      </c>
      <c r="N123" s="38">
        <f>918.05/1.171</f>
        <v>783.98804440649008</v>
      </c>
      <c r="O123" s="38">
        <f t="shared" ref="O123" si="99">F123-300</f>
        <v>6200</v>
      </c>
      <c r="P123" s="37">
        <f>(M123-'Processing costs'!G123)*100/9100</f>
        <v>42.274725274725277</v>
      </c>
      <c r="Q123" s="37">
        <f>(N123-'Processing costs'!H123)*100/16700</f>
        <v>1.4610062539310784</v>
      </c>
      <c r="R123" s="37">
        <f>(O123-'Processing costs'!I123)*100/205000</f>
        <v>2.8580487804878048</v>
      </c>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5">
      <c r="A124" s="92"/>
      <c r="B124" s="41">
        <v>45597</v>
      </c>
      <c r="C124" s="34">
        <f>I124+J124+K124</f>
        <v>46.215459078484066</v>
      </c>
      <c r="D124" s="34">
        <f>P124+Q124+R124</f>
        <v>45.497117766024701</v>
      </c>
      <c r="E124" s="35"/>
      <c r="F124" s="36">
        <v>6630</v>
      </c>
      <c r="G124" s="36">
        <v>2100</v>
      </c>
      <c r="H124" s="36">
        <v>725.72971816376253</v>
      </c>
      <c r="I124" s="34">
        <f>(F124-'Processing costs'!C124)*100/19900</f>
        <v>31.603015075376884</v>
      </c>
      <c r="J124" s="34">
        <f>((G124-103)-'Processing costs'!E124)*100/203600</f>
        <v>0.7038310412573674</v>
      </c>
      <c r="K124" s="34">
        <f>(G124-'Processing costs'!D124-H124*8.5%)*100/10600</f>
        <v>13.908612961849812</v>
      </c>
      <c r="L124" s="35"/>
      <c r="M124" s="36">
        <v>4190</v>
      </c>
      <c r="N124" s="36">
        <f>925.2/1.168</f>
        <v>792.12328767123302</v>
      </c>
      <c r="O124" s="36">
        <f>F124-300</f>
        <v>6330</v>
      </c>
      <c r="P124" s="34">
        <f>(M124-'Processing costs'!G124)*100/9100</f>
        <v>41.065934065934066</v>
      </c>
      <c r="Q124" s="34">
        <f>(N124-'Processing costs'!H124)*100/16700</f>
        <v>1.5097202854564851</v>
      </c>
      <c r="R124" s="34">
        <f>(O124-'Processing costs'!I124)*100/205000</f>
        <v>2.9214634146341463</v>
      </c>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
      <c r="B125" s="16"/>
      <c r="C125" s="16"/>
      <c r="D125" s="16"/>
      <c r="E125" s="16"/>
      <c r="F125" s="24"/>
      <c r="G125" s="24"/>
      <c r="H125" s="24"/>
      <c r="I125" s="24"/>
      <c r="J125" s="24"/>
      <c r="K125" s="24"/>
      <c r="L125" s="16"/>
      <c r="M125" s="93"/>
      <c r="N125" s="88"/>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
      <c r="A126" s="16" t="s">
        <v>58</v>
      </c>
      <c r="B126" s="16"/>
      <c r="C126" s="16"/>
      <c r="D126" s="16"/>
      <c r="E126" s="16"/>
      <c r="F126" s="24"/>
      <c r="G126" s="24"/>
      <c r="H126" s="24"/>
      <c r="I126" s="24"/>
      <c r="J126" s="24"/>
      <c r="K126" s="24"/>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16"/>
      <c r="C127" s="16"/>
      <c r="D127" s="16"/>
      <c r="E127" s="16"/>
      <c r="F127" s="24">
        <f>F109/F108-1</f>
        <v>-2.9023746701846931E-2</v>
      </c>
      <c r="G127" s="24"/>
      <c r="H127" s="24"/>
      <c r="I127" s="24"/>
      <c r="J127" s="24"/>
      <c r="K127" s="24"/>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16"/>
      <c r="C128" s="16"/>
      <c r="D128" s="16"/>
      <c r="E128" s="16"/>
      <c r="F128" s="24"/>
      <c r="G128" s="24"/>
      <c r="H128" s="24"/>
      <c r="I128" s="24"/>
      <c r="J128" s="24"/>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2:45" x14ac:dyDescent="0.3">
      <c r="B129" s="16"/>
      <c r="C129" s="16"/>
      <c r="D129" s="16"/>
      <c r="E129" s="16"/>
      <c r="F129" s="24"/>
      <c r="G129" s="24"/>
      <c r="H129" s="24"/>
      <c r="I129" s="24"/>
      <c r="J129" s="24"/>
      <c r="K129" s="24"/>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2:45" x14ac:dyDescent="0.3">
      <c r="B130" s="16"/>
      <c r="C130" s="16"/>
      <c r="D130" s="16"/>
      <c r="E130" s="16"/>
      <c r="F130" s="24"/>
      <c r="G130" s="24"/>
      <c r="H130" s="24"/>
      <c r="I130" s="24"/>
      <c r="J130" s="24"/>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2:45" x14ac:dyDescent="0.3">
      <c r="B131" s="16"/>
      <c r="C131" s="16"/>
      <c r="D131" s="16"/>
      <c r="E131" s="16"/>
      <c r="F131" s="24"/>
      <c r="G131" s="24"/>
      <c r="H131" s="24"/>
      <c r="I131" s="24"/>
      <c r="J131" s="24"/>
      <c r="K131" s="24"/>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2:45" x14ac:dyDescent="0.3">
      <c r="B132" s="16"/>
      <c r="C132" s="16"/>
      <c r="D132" s="16"/>
      <c r="E132" s="16"/>
      <c r="F132" s="24"/>
      <c r="G132" s="24"/>
      <c r="H132" s="24"/>
      <c r="I132" s="24"/>
      <c r="J132" s="24"/>
      <c r="K132" s="24"/>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2:45" x14ac:dyDescent="0.3">
      <c r="B133" s="16"/>
      <c r="C133" s="16"/>
      <c r="D133" s="16"/>
      <c r="E133" s="16"/>
      <c r="F133" s="24"/>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2:45" x14ac:dyDescent="0.3">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2: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2: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2: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2: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2: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2: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2: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2: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2: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2: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t="e">
        <f>#REF!-#REF!</f>
        <v>#REF!</v>
      </c>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B217" s="16"/>
      <c r="C217" s="16"/>
      <c r="D217" s="16"/>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E218" s="16"/>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F219" s="24"/>
      <c r="G219" s="24"/>
      <c r="H219" s="24"/>
      <c r="I219" s="24"/>
      <c r="J219" s="24"/>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F220" s="25"/>
      <c r="G220" s="25"/>
      <c r="H220" s="25"/>
      <c r="I220" s="25"/>
      <c r="J220" s="25"/>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F221" s="25"/>
      <c r="G221" s="25"/>
      <c r="H221" s="25"/>
      <c r="I221" s="25"/>
      <c r="J221" s="25"/>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F222" s="25"/>
      <c r="G222" s="25"/>
      <c r="H222" s="25"/>
      <c r="I222" s="25"/>
      <c r="J222" s="25"/>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F223" s="25"/>
      <c r="G223" s="25"/>
      <c r="H223" s="25"/>
      <c r="I223" s="25"/>
      <c r="J223" s="25"/>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F224" s="25"/>
      <c r="G224" s="25"/>
      <c r="H224" s="25"/>
      <c r="I224" s="25"/>
      <c r="J224" s="25"/>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5"/>
      <c r="G225" s="25"/>
      <c r="H225" s="25"/>
      <c r="I225" s="25"/>
      <c r="J225" s="25"/>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4"/>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5"/>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5"/>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5"/>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5"/>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5"/>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5"/>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F320" s="25"/>
      <c r="G320" s="25"/>
      <c r="H320" s="25"/>
      <c r="I320" s="25"/>
      <c r="J320" s="25"/>
      <c r="K320" s="25"/>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17:45" x14ac:dyDescent="0.3">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17:45" x14ac:dyDescent="0.3">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17:45" x14ac:dyDescent="0.3">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17:45" x14ac:dyDescent="0.3">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17:45" x14ac:dyDescent="0.3">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17:45" x14ac:dyDescent="0.3">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17: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17: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17: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row r="330" spans="17:45" x14ac:dyDescent="0.3">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3"/>
  <sheetViews>
    <sheetView showGridLines="0" zoomScale="90" zoomScaleNormal="90" zoomScaleSheetLayoutView="143" zoomScalePageLayoutView="123" workbookViewId="0">
      <pane xSplit="2" ySplit="8" topLeftCell="C113" activePane="bottomRight" state="frozen"/>
      <selection activeCell="B107" sqref="B107"/>
      <selection pane="topRight" activeCell="B107" sqref="B107"/>
      <selection pane="bottomLeft" activeCell="B107" sqref="B107"/>
      <selection pane="bottomRight" activeCell="G124" sqref="G124"/>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3">
      <c r="B117" s="42">
        <v>45383</v>
      </c>
      <c r="C117" s="38">
        <v>352</v>
      </c>
      <c r="D117" s="38">
        <v>608</v>
      </c>
      <c r="E117" s="38">
        <v>608</v>
      </c>
      <c r="G117" s="38">
        <v>464</v>
      </c>
      <c r="H117" s="38">
        <v>592</v>
      </c>
      <c r="I117" s="38">
        <v>352</v>
      </c>
    </row>
    <row r="118" spans="1:36" x14ac:dyDescent="0.3">
      <c r="B118" s="41">
        <v>45413</v>
      </c>
      <c r="C118" s="36">
        <v>352</v>
      </c>
      <c r="D118" s="36">
        <v>608</v>
      </c>
      <c r="E118" s="36">
        <v>608</v>
      </c>
      <c r="F118" s="35"/>
      <c r="G118" s="36">
        <v>464</v>
      </c>
      <c r="H118" s="36">
        <v>592</v>
      </c>
      <c r="I118" s="36">
        <v>352</v>
      </c>
    </row>
    <row r="119" spans="1:36" x14ac:dyDescent="0.3">
      <c r="B119" s="42">
        <v>45444</v>
      </c>
      <c r="C119" s="38">
        <v>352</v>
      </c>
      <c r="D119" s="38">
        <v>608</v>
      </c>
      <c r="E119" s="38">
        <v>608</v>
      </c>
      <c r="F119" s="35"/>
      <c r="G119" s="38">
        <v>464</v>
      </c>
      <c r="H119" s="38">
        <v>592</v>
      </c>
      <c r="I119" s="38">
        <v>352</v>
      </c>
    </row>
    <row r="120" spans="1:36" x14ac:dyDescent="0.3">
      <c r="B120" s="41">
        <v>45474</v>
      </c>
      <c r="C120" s="36">
        <v>342</v>
      </c>
      <c r="D120" s="36">
        <v>574</v>
      </c>
      <c r="E120" s="36">
        <v>574</v>
      </c>
      <c r="F120" s="35"/>
      <c r="G120" s="36">
        <v>453</v>
      </c>
      <c r="H120" s="36">
        <v>547</v>
      </c>
      <c r="I120" s="36">
        <v>342</v>
      </c>
    </row>
    <row r="121" spans="1:36" x14ac:dyDescent="0.3">
      <c r="B121" s="42">
        <v>45505</v>
      </c>
      <c r="C121" s="38">
        <v>342</v>
      </c>
      <c r="D121" s="38">
        <v>574</v>
      </c>
      <c r="E121" s="38">
        <v>574</v>
      </c>
      <c r="F121" s="35"/>
      <c r="G121" s="38">
        <v>453</v>
      </c>
      <c r="H121" s="38">
        <v>547</v>
      </c>
      <c r="I121" s="38">
        <v>342</v>
      </c>
    </row>
    <row r="122" spans="1:36" x14ac:dyDescent="0.3">
      <c r="B122" s="41">
        <v>45536</v>
      </c>
      <c r="C122" s="36">
        <v>342</v>
      </c>
      <c r="D122" s="36">
        <v>574</v>
      </c>
      <c r="E122" s="36">
        <v>574</v>
      </c>
      <c r="F122" s="35"/>
      <c r="G122" s="36">
        <v>453</v>
      </c>
      <c r="H122" s="36">
        <v>547</v>
      </c>
      <c r="I122" s="36">
        <v>342</v>
      </c>
    </row>
    <row r="123" spans="1:36" x14ac:dyDescent="0.3">
      <c r="B123" s="42">
        <v>45566</v>
      </c>
      <c r="C123" s="38">
        <v>341</v>
      </c>
      <c r="D123" s="38">
        <v>564</v>
      </c>
      <c r="E123" s="38">
        <v>564</v>
      </c>
      <c r="F123" s="35"/>
      <c r="G123" s="38">
        <v>453</v>
      </c>
      <c r="H123" s="38">
        <v>540</v>
      </c>
      <c r="I123" s="38">
        <v>341</v>
      </c>
    </row>
    <row r="124" spans="1:36" x14ac:dyDescent="0.3">
      <c r="B124" s="41">
        <v>45597</v>
      </c>
      <c r="C124" s="36">
        <v>341</v>
      </c>
      <c r="D124" s="36">
        <v>564</v>
      </c>
      <c r="E124" s="36">
        <v>564</v>
      </c>
      <c r="F124" s="35"/>
      <c r="G124" s="36">
        <v>453</v>
      </c>
      <c r="H124" s="36">
        <v>540</v>
      </c>
      <c r="I124" s="36">
        <v>341</v>
      </c>
    </row>
    <row r="126" spans="1:36" x14ac:dyDescent="0.3">
      <c r="A126" s="16" t="s">
        <v>54</v>
      </c>
      <c r="B126" s="16"/>
      <c r="C126" s="24"/>
      <c r="D126" s="24"/>
      <c r="E126" s="24"/>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3">
      <c r="A127" s="16" t="s">
        <v>55</v>
      </c>
      <c r="B127" s="16"/>
      <c r="C127" s="24"/>
      <c r="D127" s="24"/>
      <c r="E127" s="24"/>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3">
      <c r="B128" s="16"/>
      <c r="C128" s="24"/>
      <c r="D128" s="24"/>
      <c r="E128" s="24"/>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2:36" x14ac:dyDescent="0.3">
      <c r="B129" s="16"/>
      <c r="C129" s="24"/>
      <c r="D129" s="24"/>
      <c r="E129" s="24"/>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2:36" x14ac:dyDescent="0.3">
      <c r="B130" s="16"/>
      <c r="C130" s="24"/>
      <c r="D130" s="24"/>
      <c r="E130" s="24"/>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2:36" x14ac:dyDescent="0.3">
      <c r="B131" s="16"/>
      <c r="C131" s="24"/>
      <c r="D131" s="24"/>
      <c r="E131" s="24"/>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36" x14ac:dyDescent="0.3">
      <c r="B132" s="16"/>
      <c r="C132" s="24"/>
      <c r="D132" s="24"/>
      <c r="E132" s="24"/>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36" x14ac:dyDescent="0.3">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2:36" x14ac:dyDescent="0.3">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2: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2: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2: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2: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2: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2: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2: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2: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2: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2: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B220" s="16"/>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C222" s="24"/>
      <c r="D222" s="24"/>
      <c r="E222" s="24"/>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C223" s="25"/>
      <c r="D223" s="25"/>
      <c r="E223" s="25"/>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C224" s="25"/>
      <c r="D224" s="25"/>
      <c r="E224" s="25"/>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3:36" x14ac:dyDescent="0.3">
      <c r="C225" s="25"/>
      <c r="D225" s="25"/>
      <c r="E225" s="25"/>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3:36" x14ac:dyDescent="0.3">
      <c r="C226" s="25"/>
      <c r="D226" s="25"/>
      <c r="E226" s="25"/>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3:36" x14ac:dyDescent="0.3">
      <c r="C227" s="25"/>
      <c r="D227" s="25"/>
      <c r="E227" s="25"/>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3: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3: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3: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3: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3: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3: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3: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3: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3: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3: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3: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3: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3: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C323" s="25"/>
      <c r="D323" s="25"/>
      <c r="E323" s="25"/>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row r="333" spans="3:36" x14ac:dyDescent="0.3">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20"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6" zoomScaleNormal="100" workbookViewId="0">
      <selection activeCell="I14" sqref="I14"/>
    </sheetView>
  </sheetViews>
  <sheetFormatPr defaultRowHeight="12.5" x14ac:dyDescent="0.25"/>
  <cols>
    <col min="1" max="1" width="8.69921875" style="2" customWidth="1"/>
    <col min="2" max="2" width="10" style="2" customWidth="1"/>
    <col min="3" max="3" width="17.09765625" style="2" customWidth="1"/>
    <col min="4" max="4" width="16" style="2" bestFit="1" customWidth="1"/>
    <col min="5" max="5" width="19.8984375" style="2" customWidth="1"/>
    <col min="6"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45597</v>
      </c>
    </row>
    <row r="4" spans="1:17" ht="15.5" x14ac:dyDescent="0.25">
      <c r="B4" s="48">
        <v>45597</v>
      </c>
      <c r="C4" s="49">
        <f>VLOOKUP($B4,'AMPE-MCVE'!$B:$K,8,FALSE)</f>
        <v>31.603015075376884</v>
      </c>
      <c r="D4" s="49">
        <f>VLOOKUP($B4,'AMPE-MCVE'!$B:$K,9,FALSE)</f>
        <v>0.7038310412573674</v>
      </c>
      <c r="E4" s="49">
        <f>VLOOKUP($B4,'AMPE-MCVE'!$B:$K,10,FALSE)</f>
        <v>13.908612961849812</v>
      </c>
      <c r="F4" s="50">
        <f>VLOOKUP($B4,'AMPE-MCVE'!$B:$D,2,FALSE)</f>
        <v>46.215459078484066</v>
      </c>
      <c r="G4" s="49"/>
      <c r="P4" s="78"/>
      <c r="Q4" s="78"/>
    </row>
    <row r="5" spans="1:17" ht="15.5" x14ac:dyDescent="0.25">
      <c r="B5" s="51">
        <f>EDATE(B4,-1)</f>
        <v>45566</v>
      </c>
      <c r="C5" s="52">
        <f>VLOOKUP($B5,'AMPE-MCVE'!$B:$K,8,FALSE)</f>
        <v>30.949748743718594</v>
      </c>
      <c r="D5" s="52">
        <f>VLOOKUP($B5,'AMPE-MCVE'!$B:$K,9,FALSE)</f>
        <v>0.69891944990176813</v>
      </c>
      <c r="E5" s="52">
        <f>VLOOKUP($B5,'AMPE-MCVE'!$B:$K,10,FALSE)</f>
        <v>13.837311320754717</v>
      </c>
      <c r="F5" s="53">
        <f>VLOOKUP($B5,'AMPE-MCVE'!$B:$D,2,FALSE)</f>
        <v>45.485979514375082</v>
      </c>
      <c r="G5" s="70">
        <f>($F$4-F5)/F5</f>
        <v>1.6037459716096585E-2</v>
      </c>
      <c r="P5" s="78"/>
      <c r="Q5" s="78"/>
    </row>
    <row r="6" spans="1:17" ht="15.5" x14ac:dyDescent="0.25">
      <c r="B6" s="54">
        <f>EDATE(B4,-12)</f>
        <v>45231</v>
      </c>
      <c r="C6" s="49">
        <f>VLOOKUP($B6,'AMPE-MCVE'!$B:$K,8,FALSE)</f>
        <v>21.286432160804019</v>
      </c>
      <c r="D6" s="49">
        <f>VLOOKUP($B6,'AMPE-MCVE'!$B:$K,9,FALSE)</f>
        <v>0.78438113948919452</v>
      </c>
      <c r="E6" s="49">
        <f>VLOOKUP($B6,'AMPE-MCVE'!$B:$K,10,FALSE)</f>
        <v>15.587877358490566</v>
      </c>
      <c r="F6" s="50">
        <f>VLOOKUP($B6,'AMPE-MCVE'!$B:$D,2,FALSE)</f>
        <v>37.658690658783783</v>
      </c>
      <c r="G6" s="55">
        <f>($F$4-F6)/F6</f>
        <v>0.22721895716532145</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45597</v>
      </c>
      <c r="P9" s="78"/>
      <c r="Q9" s="78"/>
    </row>
    <row r="10" spans="1:17" ht="15.5" x14ac:dyDescent="0.25">
      <c r="B10" s="48">
        <f>B4</f>
        <v>45597</v>
      </c>
      <c r="C10" s="49">
        <f>VLOOKUP($B10,'AMPE-MCVE'!$B:$R,15,FALSE)</f>
        <v>41.065934065934066</v>
      </c>
      <c r="D10" s="49">
        <f>VLOOKUP($B10,'AMPE-MCVE'!$B:$R,16,FALSE)</f>
        <v>1.5097202854564851</v>
      </c>
      <c r="E10" s="49">
        <f>VLOOKUP($B10,'AMPE-MCVE'!$B:$R,17,FALSE)</f>
        <v>2.9214634146341463</v>
      </c>
      <c r="F10" s="50">
        <f>VLOOKUP($B10,'AMPE-MCVE'!$B:$D,3,FALSE)</f>
        <v>45.497117766024701</v>
      </c>
      <c r="G10" s="49"/>
    </row>
    <row r="11" spans="1:17" ht="15.5" x14ac:dyDescent="0.25">
      <c r="B11" s="51">
        <f>B5</f>
        <v>45566</v>
      </c>
      <c r="C11" s="52">
        <f>VLOOKUP($B11,'AMPE-MCVE'!$B:$R,15,FALSE)</f>
        <v>42.274725274725277</v>
      </c>
      <c r="D11" s="52">
        <f>VLOOKUP($B11,'AMPE-MCVE'!$B:$R,16,FALSE)</f>
        <v>1.4610062539310784</v>
      </c>
      <c r="E11" s="52">
        <f>VLOOKUP($B11,'AMPE-MCVE'!$B:$R,17,FALSE)</f>
        <v>2.8580487804878048</v>
      </c>
      <c r="F11" s="53">
        <f>VLOOKUP($B11,'AMPE-MCVE'!$B:$D,3,FALSE)</f>
        <v>46.593780309144165</v>
      </c>
      <c r="G11" s="70">
        <f>($F$10-F11)/F11</f>
        <v>-2.3536672402265698E-2</v>
      </c>
    </row>
    <row r="12" spans="1:17" ht="15.5" x14ac:dyDescent="0.25">
      <c r="B12" s="54">
        <f>B6</f>
        <v>45231</v>
      </c>
      <c r="C12" s="49">
        <f>VLOOKUP($B12,'AMPE-MCVE'!$B:$R,15,FALSE)</f>
        <v>32.373626373626372</v>
      </c>
      <c r="D12" s="49">
        <f>VLOOKUP($B12,'AMPE-MCVE'!$B:$R,16,FALSE)</f>
        <v>0.87549399892455715</v>
      </c>
      <c r="E12" s="49">
        <f>VLOOKUP($B12,'AMPE-MCVE'!$B:$R,17,FALSE)</f>
        <v>1.92</v>
      </c>
      <c r="F12" s="50">
        <f>VLOOKUP($B12,'AMPE-MCVE'!$B:$D,3,FALSE)</f>
        <v>35.169120372550928</v>
      </c>
      <c r="G12" s="55">
        <f>($F$10-F12)/F12</f>
        <v>0.29366663948566224</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45444</v>
      </c>
      <c r="D33" s="79">
        <f>VLOOKUP($C33,MMV!$B:$D,2,FALSE)</f>
        <v>38.65149442735521</v>
      </c>
      <c r="E33" s="79">
        <f>VLOOKUP($C33,MMV!$B:$D,3,FALSE)</f>
        <v>2.1128515533975687</v>
      </c>
    </row>
    <row r="34" spans="1:6" ht="15.5" x14ac:dyDescent="0.25">
      <c r="A34" s="3"/>
      <c r="C34" s="51">
        <f t="shared" si="0"/>
        <v>45474</v>
      </c>
      <c r="D34" s="52">
        <f>VLOOKUP($C34,MMV!$B:$D,2,FALSE)</f>
        <v>39.819190301524969</v>
      </c>
      <c r="E34" s="52">
        <f>VLOOKUP($C34,MMV!$B:$D,3,FALSE)</f>
        <v>1.167695874169759</v>
      </c>
    </row>
    <row r="35" spans="1:6" ht="15.5" x14ac:dyDescent="0.25">
      <c r="C35" s="48">
        <f t="shared" si="0"/>
        <v>45505</v>
      </c>
      <c r="D35" s="49">
        <f>VLOOKUP($C35,MMV!$B:$D,2,FALSE)</f>
        <v>41.294244057346077</v>
      </c>
      <c r="E35" s="49">
        <f>VLOOKUP($C35,MMV!$B:$D,3,FALSE)</f>
        <v>1.4750537558211079</v>
      </c>
    </row>
    <row r="36" spans="1:6" ht="15.5" x14ac:dyDescent="0.25">
      <c r="C36" s="51">
        <f t="shared" si="0"/>
        <v>45536</v>
      </c>
      <c r="D36" s="52">
        <f>VLOOKUP($C36,MMV!$B:$D,2,FALSE)</f>
        <v>45.356957418464162</v>
      </c>
      <c r="E36" s="52">
        <f>VLOOKUP($C36,MMV!$B:$D,3,FALSE)</f>
        <v>4.0627133611180852</v>
      </c>
    </row>
    <row r="37" spans="1:6" ht="15.5" x14ac:dyDescent="0.25">
      <c r="C37" s="48">
        <f>EDATE(C38,-1)</f>
        <v>45566</v>
      </c>
      <c r="D37" s="49">
        <f>VLOOKUP($C37,MMV!$B:$D,2,FALSE)</f>
        <v>46.372220150190351</v>
      </c>
      <c r="E37" s="49">
        <f>VLOOKUP($C37,MMV!$B:$D,3,FALSE)</f>
        <v>1.0152627317261889</v>
      </c>
    </row>
    <row r="38" spans="1:6" ht="15.5" x14ac:dyDescent="0.25">
      <c r="C38" s="51">
        <f>B4</f>
        <v>45597</v>
      </c>
      <c r="D38" s="52">
        <f>VLOOKUP($C38,MMV!$B:$D,2,FALSE)</f>
        <v>45.64078602851658</v>
      </c>
      <c r="E38" s="52">
        <f>VLOOKUP($C38,MMV!$B:$D,3,FALSE)</f>
        <v>-0.73143412167377164</v>
      </c>
      <c r="F38" s="90"/>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5" zoomScaleNormal="85" workbookViewId="0">
      <selection activeCell="T32" sqref="T32"/>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85" zoomScaleNormal="85" workbookViewId="0">
      <selection activeCell="M19" sqref="M19"/>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1" t="s">
        <v>61</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60</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Freya Shuttleworth</cp:lastModifiedBy>
  <dcterms:created xsi:type="dcterms:W3CDTF">2019-09-17T09:10:32Z</dcterms:created>
  <dcterms:modified xsi:type="dcterms:W3CDTF">2024-11-25T15:23:40Z</dcterms:modified>
</cp:coreProperties>
</file>